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<sst xmlns="http://schemas.openxmlformats.org/spreadsheetml/2006/main" count="1477" uniqueCount="307">
  <si>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</si>
  <si>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</si>
  <si>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</si>
  <si>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</si>
  <si>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</si>
  <si>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</si>
  <si>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</si>
  <si>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</si>
  <si>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</si>
  <si>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</si>
  <si>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</si>
  <si>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</si>
  <si>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</si>
  <si>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</si>
  <si>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</si>
  <si>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</si>
  <si>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</si>
  <si>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</si>
  <si>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</si>
  <si>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</si>
  <si>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</si>
  <si>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</si>
  <si>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</si>
  <si>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</si>
  <si>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</si>
  <si>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</si>
  <si>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</si>
  <si>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</si>
  <si>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</si>
  <si>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</si>
  <si>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</si>
  <si>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</si>
  <si>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</si>
  <si>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</si>
  <si>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</si>
  <si>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</si>
  <si>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</si>
  <si>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</si>
  <si>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</si>
  <si>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</si>
  <si>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</si>
  <si>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</si>
  <si>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</si>
  <si>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</si>
  <si>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</si>
  <si>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</si>
  <si>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</si>
  <si>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</si>
  <si>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</si>
  <si>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</si>
  <si>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</si>
  <si>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</si>
  <si>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</si>
  <si>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</si>
  <si>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</si>
  <si>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</si>
  <si>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</si>
  <si>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</si>
  <si>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</si>
  <si>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</si>
  <si>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</si>
  <si>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</si>
  <si>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</si>
  <si>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</si>
  <si>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</si>
  <si>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</si>
  <si>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</si>
  <si>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</si>
  <si>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</si>
  <si>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</si>
  <si>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</si>
  <si>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</si>
  <si>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</si>
  <si>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</si>
  <si>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</si>
  <si>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</si>
  <si>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</si>
  <si>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</si>
  <si>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</si>
  <si>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</si>
  <si>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</si>
  <si>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</si>
  <si>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</si>
  <si>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</si>
  <si>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</si>
  <si>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</si>
  <si>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</si>
  <si>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</si>
  <si>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</si>
  <si>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</si>
  <si>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</si>
  <si>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</si>
  <si>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</si>
  <si>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</si>
  <si>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</si>
  <si>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</si>
  <si>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</si>
  <si>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</si>
  <si>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</si>
  <si>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</si>
  <si>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</si>
  <si>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</si>
  <si>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</si>
  <si>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</si>
  <si>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</si>
  <si>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</si>
  <si>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</si>
  <si>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</si>
  <si>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</si>
  <si>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</si>
  <si>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</si>
  <si>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</si>
  <si>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</si>
  <si>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</si>
  <si>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</si>
  <si>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</si>
  <si>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</si>
  <si>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</si>
  <si>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</si>
  <si>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</si>
  <si>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</si>
  <si>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</si>
  <si>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</si>
  <si>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</si>
  <si>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</si>
  <si>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</si>
  <si>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</si>
  <si>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</si>
  <si>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</si>
  <si>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</si>
  <si>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</si>
  <si>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</si>
  <si>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</si>
  <si>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</si>
  <si>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</si>
  <si>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</si>
  <si>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</si>
  <si>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</si>
  <si>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</si>
  <si>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</si>
  <si>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</si>
  <si>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</si>
  <si>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</si>
  <si>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</si>
  <si>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</si>
  <si>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</si>
  <si>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</si>
  <si>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</si>
  <si>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</si>
  <si>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</si>
  <si>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</si>
  <si>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</si>
  <si>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</si>
  <si>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</si>
  <si>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</si>
  <si>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</si>
  <si>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</si>
  <si>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</si>
  <si>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</si>
  <si>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</si>
  <si>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</si>
  <si>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</si>
  <si>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</si>
  <si>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</si>
  <si>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</si>
  <si>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</si>
  <si>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</si>
  <si>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</si>
  <si>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</si>
  <si>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</si>
  <si>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</si>
  <si>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</si>
  <si>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</si>
  <si>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</si>
  <si>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</si>
  <si>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</si>
  <si>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</si>
  <si>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</si>
  <si>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</si>
  <si>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</si>
  <si>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</si>
  <si>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</si>
  <si>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</si>
  <si>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</si>
  <si>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</si>
  <si>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</si>
  <si>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</si>
  <si>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</si>
  <si>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</si>
  <si>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</si>
  <si>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</si>
  <si>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</si>
  <si>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</si>
  <si>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</si>
  <si>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</si>
  <si>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</si>
  <si>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</si>
  <si>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</si>
  <si>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</si>
  <si>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</si>
  <si>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</si>
  <si>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</si>
  <si>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</si>
  <si>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</si>
  <si>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</si>
  <si>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</si>
  <si>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</si>
  <si>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</si>
  <si>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</si>
  <si>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</si>
  <si>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</si>
  <si>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</si>
  <si>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</si>
  <si>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</si>
  <si>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</si>
  <si>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</si>
  <si>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</si>
  <si>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</si>
  <si>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</si>
  <si>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</si>
  <si>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</si>
  <si>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</si>
  <si>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</si>
  <si>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</si>
  <si>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</si>
  <si>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</si>
  <si>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</si>
  <si>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</si>
  <si>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</si>
  <si>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</si>
  <si>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</si>
  <si>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</si>
  <si>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</si>
  <si>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</si>
  <si>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</si>
  <si>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</si>
  <si>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</si>
  <si>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</si>
  <si>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</si>
  <si>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</si>
  <si>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</si>
  <si>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</si>
  <si>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</si>
  <si>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</si>
  <si>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</si>
  <si>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</si>
  <si>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</si>
  <si>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</si>
  <si>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</si>
  <si>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</si>
  <si>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</si>
  <si>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</si>
  <si>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</si>
  <si>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</si>
  <si>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</si>
  <si>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</si>
  <si>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</si>
  <si>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</si>
  <si>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</si>
  <si>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</si>
  <si>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</si>
  <si>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</si>
  <si>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</si>
  <si>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</si>
  <si>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</si>
  <si>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</si>
  <si>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</si>
  <si>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</si>
  <si>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</si>
  <si>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</si>
  <si>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</si>
  <si>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</si>
  <si>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</si>
  <si>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</si>
  <si>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</si>
  <si>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</si>
  <si>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</si>
  <si>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</si>
  <si>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</si>
  <si>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</si>
  <si>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</si>
  <si>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</si>
  <si>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</si>
  <si>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</si>
  <si>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</si>
  <si>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</si>
  <si>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</si>
  <si>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</si>
  <si>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</si>
  <si>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</si>
  <si>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</si>
  <si>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</si>
  <si>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</si>
  <si>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</si>
  <si>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</si>
  <si>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</si>
  <si>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</si>
  <si>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</si>
  <si>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02.09.2015</t>
    </r>
    <r>
      <rPr>
        <b/>
        <sz val="16"/>
        <rFont val="Times New Roman"/>
        <family val="1"/>
      </rPr>
      <t>р.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</si>
  <si>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</si>
  <si>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</si>
  <si>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</si>
  <si>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</si>
  <si>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</si>
  <si>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</si>
  <si>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</si>
  <si>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01.09.15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</si>
</sst>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304</v>
      </c>
      <c r="N3" s="262" t="s">
        <v>305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299</v>
      </c>
      <c r="F4" s="245" t="s">
        <v>116</v>
      </c>
      <c r="G4" s="247" t="s">
        <v>300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430189.56000000006</v>
      </c>
      <c r="G8" s="18">
        <f aca="true" t="shared" si="0" ref="G8:G54">F8-E8</f>
        <v>-28562.939999999944</v>
      </c>
      <c r="H8" s="45">
        <f>F8/E8*100</f>
        <v>93.77377997940067</v>
      </c>
      <c r="I8" s="31">
        <f aca="true" t="shared" si="1" ref="I8:I54">F8-D8</f>
        <v>-142099.43999999994</v>
      </c>
      <c r="J8" s="31">
        <f aca="true" t="shared" si="2" ref="J8:J14">F8/D8*100</f>
        <v>75.16998579389086</v>
      </c>
      <c r="K8" s="18">
        <f>K9+K15+K18+K19+K20+K32</f>
        <v>107545.236</v>
      </c>
      <c r="L8" s="18"/>
      <c r="M8" s="18">
        <f>M9+M15+M18+M19+M20+M32+M17</f>
        <v>45676.399999999994</v>
      </c>
      <c r="N8" s="18">
        <f>N9+N15+N18+N19+N20+N32+N17</f>
        <v>677.4500000000317</v>
      </c>
      <c r="O8" s="31">
        <f aca="true" t="shared" si="3" ref="O8:O54">N8-M8</f>
        <v>-44998.94999999996</v>
      </c>
      <c r="P8" s="31">
        <f>F8/M8*100</f>
        <v>941.8201959874248</v>
      </c>
      <c r="Q8" s="31">
        <f>N8-33748.16</f>
        <v>-33070.70999999997</v>
      </c>
      <c r="R8" s="125">
        <f>N8/33748.16</f>
        <v>0.020073686980268898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234118.92</v>
      </c>
      <c r="G9" s="43">
        <f t="shared" si="0"/>
        <v>-14495.629999999976</v>
      </c>
      <c r="H9" s="35">
        <f aca="true" t="shared" si="4" ref="H9:H32">F9/E9*100</f>
        <v>94.16943618143026</v>
      </c>
      <c r="I9" s="50">
        <f t="shared" si="1"/>
        <v>-78571.07999999999</v>
      </c>
      <c r="J9" s="50">
        <f t="shared" si="2"/>
        <v>74.87253190060443</v>
      </c>
      <c r="K9" s="132">
        <f>F9-250278.43/75*60</f>
        <v>33896.17600000001</v>
      </c>
      <c r="L9" s="132">
        <f>F9/(250278.43/75*60)*100</f>
        <v>116.92923357398399</v>
      </c>
      <c r="M9" s="35">
        <f>E9-серпень!E9</f>
        <v>26089.899999999994</v>
      </c>
      <c r="N9" s="35">
        <f>F9-серпень!F9</f>
        <v>407.9100000000035</v>
      </c>
      <c r="O9" s="47">
        <f t="shared" si="3"/>
        <v>-25681.98999999999</v>
      </c>
      <c r="P9" s="50">
        <f aca="true" t="shared" si="5" ref="P9:P32">N9/M9*100</f>
        <v>1.5634785874993908</v>
      </c>
      <c r="Q9" s="132">
        <f>N9-26568.11</f>
        <v>-26160.199999999997</v>
      </c>
      <c r="R9" s="133">
        <f>N9/26568.11</f>
        <v>0.015353369133145093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206990.82</v>
      </c>
      <c r="G10" s="135">
        <f t="shared" si="0"/>
        <v>-11499.429999999993</v>
      </c>
      <c r="H10" s="137">
        <f t="shared" si="4"/>
        <v>94.73686812111754</v>
      </c>
      <c r="I10" s="136">
        <f t="shared" si="1"/>
        <v>-33419.17999999999</v>
      </c>
      <c r="J10" s="136">
        <f t="shared" si="2"/>
        <v>86.09908905619567</v>
      </c>
      <c r="K10" s="138">
        <f>F10-222647.03/75*60</f>
        <v>28873.196000000025</v>
      </c>
      <c r="L10" s="138">
        <f>F10/(222647.03/75*60)*100</f>
        <v>116.21018479339249</v>
      </c>
      <c r="M10" s="137">
        <f>E10-серпень!E10</f>
        <v>22490</v>
      </c>
      <c r="N10" s="137">
        <f>F10-серпень!F10</f>
        <v>372.61000000001513</v>
      </c>
      <c r="O10" s="138">
        <f t="shared" si="3"/>
        <v>-22117.389999999985</v>
      </c>
      <c r="P10" s="136">
        <f t="shared" si="5"/>
        <v>1.6567807914629398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12408.56</v>
      </c>
      <c r="G11" s="135">
        <f t="shared" si="0"/>
        <v>-4379.340000000002</v>
      </c>
      <c r="H11" s="137">
        <f t="shared" si="4"/>
        <v>73.91371166137515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137">
        <f>E11-серпень!E11</f>
        <v>2099.9000000000015</v>
      </c>
      <c r="N11" s="137">
        <f>F11-серпень!F11</f>
        <v>0</v>
      </c>
      <c r="O11" s="138">
        <f t="shared" si="3"/>
        <v>-2099.9000000000015</v>
      </c>
      <c r="P11" s="136">
        <f t="shared" si="5"/>
        <v>0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3341.27</v>
      </c>
      <c r="G12" s="135">
        <f t="shared" si="0"/>
        <v>-567.73</v>
      </c>
      <c r="H12" s="137">
        <f t="shared" si="4"/>
        <v>85.47633665899207</v>
      </c>
      <c r="I12" s="136">
        <f t="shared" si="1"/>
        <v>-2458.73</v>
      </c>
      <c r="J12" s="136">
        <f t="shared" si="2"/>
        <v>57.60810344827586</v>
      </c>
      <c r="K12" s="138">
        <f>F12-4856.12/75*60</f>
        <v>-543.6259999999997</v>
      </c>
      <c r="L12" s="138">
        <f>F12/(4856.12*60)*100</f>
        <v>1.1467557089473353</v>
      </c>
      <c r="M12" s="137">
        <f>E12-серпень!E12</f>
        <v>660</v>
      </c>
      <c r="N12" s="137">
        <f>F12-серпень!F12</f>
        <v>9.909999999999854</v>
      </c>
      <c r="O12" s="138">
        <f t="shared" si="3"/>
        <v>-650.0900000000001</v>
      </c>
      <c r="P12" s="136">
        <f t="shared" si="5"/>
        <v>1.5015151515151295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5002.12</v>
      </c>
      <c r="G13" s="135">
        <f t="shared" si="0"/>
        <v>-1221.2799999999997</v>
      </c>
      <c r="H13" s="137">
        <f t="shared" si="4"/>
        <v>80.37600025709419</v>
      </c>
      <c r="I13" s="136">
        <f t="shared" si="1"/>
        <v>-3397.88</v>
      </c>
      <c r="J13" s="136">
        <f t="shared" si="2"/>
        <v>59.54904761904761</v>
      </c>
      <c r="K13" s="138">
        <f>F13-6838.4/75*60</f>
        <v>-468.59999999999945</v>
      </c>
      <c r="L13" s="138">
        <f>F13/(6838.4/75*60)*100</f>
        <v>91.43439985961629</v>
      </c>
      <c r="M13" s="137">
        <f>E13-серпень!E13</f>
        <v>450</v>
      </c>
      <c r="N13" s="137">
        <f>F13-серпень!F13</f>
        <v>25.390000000000327</v>
      </c>
      <c r="O13" s="138">
        <f t="shared" si="3"/>
        <v>-424.6099999999997</v>
      </c>
      <c r="P13" s="136">
        <f t="shared" si="5"/>
        <v>5.642222222222295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6376.14</v>
      </c>
      <c r="G14" s="135">
        <f t="shared" si="0"/>
        <v>3172.1400000000003</v>
      </c>
      <c r="H14" s="137">
        <f t="shared" si="4"/>
        <v>199.0056179775281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137">
        <f>E14-липень!E14</f>
        <v>780</v>
      </c>
      <c r="N14" s="137">
        <f>F14-серпень!F14</f>
        <v>0</v>
      </c>
      <c r="O14" s="138">
        <f t="shared" si="3"/>
        <v>-780</v>
      </c>
      <c r="P14" s="136">
        <f t="shared" si="5"/>
        <v>0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-734.58</v>
      </c>
      <c r="G15" s="43">
        <f t="shared" si="0"/>
        <v>-905.98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E15-серпень!E15</f>
        <v>0.09999999999999432</v>
      </c>
      <c r="N15" s="35">
        <f>F15-серпень!F15</f>
        <v>0</v>
      </c>
      <c r="O15" s="47">
        <f t="shared" si="3"/>
        <v>-0.09999999999999432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E16-серпень!E16</f>
        <v>0</v>
      </c>
      <c r="N16" s="35">
        <f>F16-серпень!F16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43878.89</v>
      </c>
      <c r="G19" s="43">
        <f t="shared" si="0"/>
        <v>-6843.860000000001</v>
      </c>
      <c r="H19" s="35">
        <f t="shared" si="4"/>
        <v>86.50731673657283</v>
      </c>
      <c r="I19" s="50">
        <f t="shared" si="1"/>
        <v>-18331.11</v>
      </c>
      <c r="J19" s="178">
        <f>F19/D19*100</f>
        <v>70.5334994373895</v>
      </c>
      <c r="K19" s="179">
        <f>F19-0</f>
        <v>43878.89</v>
      </c>
      <c r="L19" s="180"/>
      <c r="M19" s="35">
        <f>E19-серпень!E19</f>
        <v>6800</v>
      </c>
      <c r="N19" s="35">
        <f>F19-серпень!F19</f>
        <v>1.2299999999959255</v>
      </c>
      <c r="O19" s="47">
        <f t="shared" si="3"/>
        <v>-6798.770000000004</v>
      </c>
      <c r="P19" s="50">
        <f t="shared" si="5"/>
        <v>0.018088235294057727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147336.33000000002</v>
      </c>
      <c r="G20" s="43">
        <f t="shared" si="0"/>
        <v>-6142.069999999978</v>
      </c>
      <c r="H20" s="35">
        <f t="shared" si="4"/>
        <v>95.99808833034487</v>
      </c>
      <c r="I20" s="50">
        <f t="shared" si="1"/>
        <v>-42533.669999999984</v>
      </c>
      <c r="J20" s="178">
        <f aca="true" t="shared" si="6" ref="J20:J46">F20/D20*100</f>
        <v>77.59853057355033</v>
      </c>
      <c r="K20" s="178">
        <f>K21+K25+K26+K27</f>
        <v>32354.380000000005</v>
      </c>
      <c r="L20" s="136"/>
      <c r="M20" s="35">
        <f>E20-серпень!E20</f>
        <v>12786.100000000006</v>
      </c>
      <c r="N20" s="35">
        <f>F20-серпень!F20</f>
        <v>268.1600000000326</v>
      </c>
      <c r="O20" s="47">
        <f t="shared" si="3"/>
        <v>-12517.939999999973</v>
      </c>
      <c r="P20" s="50">
        <f t="shared" si="5"/>
        <v>2.0972775122987657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79957.22</v>
      </c>
      <c r="G21" s="43">
        <f t="shared" si="0"/>
        <v>-5943.179999999993</v>
      </c>
      <c r="H21" s="35">
        <f t="shared" si="4"/>
        <v>93.08131277619196</v>
      </c>
      <c r="I21" s="50">
        <f t="shared" si="1"/>
        <v>-30342.78</v>
      </c>
      <c r="J21" s="178">
        <f t="shared" si="6"/>
        <v>72.49067996373527</v>
      </c>
      <c r="K21" s="178">
        <f>K22+K23+K24</f>
        <v>25375.68</v>
      </c>
      <c r="L21" s="136"/>
      <c r="M21" s="35">
        <f>E21-серпень!E21</f>
        <v>8720.099999999991</v>
      </c>
      <c r="N21" s="35">
        <f>F21-серпень!F21</f>
        <v>158.3399999999965</v>
      </c>
      <c r="O21" s="47">
        <f t="shared" si="3"/>
        <v>-8561.759999999995</v>
      </c>
      <c r="P21" s="50">
        <f t="shared" si="5"/>
        <v>1.8158048646230738</v>
      </c>
      <c r="Q21" s="139"/>
      <c r="R21" s="140"/>
    </row>
    <row r="22" spans="1:18" s="6" customFormat="1" ht="15.75" hidden="1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8711.3</v>
      </c>
      <c r="G22" s="135">
        <f t="shared" si="0"/>
        <v>-83.10000000000036</v>
      </c>
      <c r="H22" s="137">
        <f t="shared" si="4"/>
        <v>99.05508050577639</v>
      </c>
      <c r="I22" s="136">
        <f t="shared" si="1"/>
        <v>-1988.7000000000007</v>
      </c>
      <c r="J22" s="136">
        <f t="shared" si="6"/>
        <v>81.41401869158878</v>
      </c>
      <c r="K22" s="136">
        <f>F22-288.8</f>
        <v>8422.5</v>
      </c>
      <c r="L22" s="136">
        <f>F22/288.8*100</f>
        <v>3016.3781163434896</v>
      </c>
      <c r="M22" s="137">
        <f>E22-серпень!E22</f>
        <v>171.10000000000036</v>
      </c>
      <c r="N22" s="137">
        <f>F22-серпень!F22</f>
        <v>37.55999999999949</v>
      </c>
      <c r="O22" s="138">
        <f t="shared" si="3"/>
        <v>-133.54000000000087</v>
      </c>
      <c r="P22" s="136">
        <f t="shared" si="5"/>
        <v>21.95207481005226</v>
      </c>
      <c r="Q22" s="139"/>
      <c r="R22" s="140"/>
    </row>
    <row r="23" spans="1:18" s="6" customFormat="1" ht="15.75" hidden="1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3162.78</v>
      </c>
      <c r="G23" s="135">
        <f t="shared" si="0"/>
        <v>1375.7800000000002</v>
      </c>
      <c r="H23" s="137"/>
      <c r="I23" s="136">
        <f t="shared" si="1"/>
        <v>1062.7800000000002</v>
      </c>
      <c r="J23" s="136">
        <f t="shared" si="6"/>
        <v>150.60857142857145</v>
      </c>
      <c r="K23" s="136">
        <f>F23-0</f>
        <v>3162.78</v>
      </c>
      <c r="L23" s="136"/>
      <c r="M23" s="137">
        <f>E23-серпень!E23</f>
        <v>309</v>
      </c>
      <c r="N23" s="137">
        <f>F23-серпень!F23</f>
        <v>45.83000000000038</v>
      </c>
      <c r="O23" s="138">
        <f t="shared" si="3"/>
        <v>-263.1699999999996</v>
      </c>
      <c r="P23" s="136"/>
      <c r="Q23" s="139"/>
      <c r="R23" s="140"/>
    </row>
    <row r="24" spans="1:18" s="6" customFormat="1" ht="15.75" hidden="1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68083.14</v>
      </c>
      <c r="G24" s="135">
        <f t="shared" si="0"/>
        <v>-7235.860000000001</v>
      </c>
      <c r="H24" s="137">
        <f t="shared" si="4"/>
        <v>90.39304823484115</v>
      </c>
      <c r="I24" s="136">
        <f t="shared" si="1"/>
        <v>-29416.86</v>
      </c>
      <c r="J24" s="136">
        <f t="shared" si="6"/>
        <v>69.82886153846154</v>
      </c>
      <c r="K24" s="224">
        <f>F24-54292.74</f>
        <v>13790.400000000001</v>
      </c>
      <c r="L24" s="224">
        <f>F24/54292.74*100</f>
        <v>125.40008111581771</v>
      </c>
      <c r="M24" s="137">
        <f>E24-серпень!E24</f>
        <v>8240</v>
      </c>
      <c r="N24" s="137">
        <f>F24-серпень!F24</f>
        <v>74.94999999999709</v>
      </c>
      <c r="O24" s="138">
        <f t="shared" si="3"/>
        <v>-8165.050000000003</v>
      </c>
      <c r="P24" s="136">
        <f t="shared" si="5"/>
        <v>0.9095873786407414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48.85</v>
      </c>
      <c r="G25" s="43">
        <f t="shared" si="0"/>
        <v>7.350000000000001</v>
      </c>
      <c r="H25" s="35">
        <f t="shared" si="4"/>
        <v>117.71084337349397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E25-серпень!E25</f>
        <v>6</v>
      </c>
      <c r="N25" s="35">
        <f>F25-серпень!F25</f>
        <v>0</v>
      </c>
      <c r="O25" s="47">
        <f t="shared" si="3"/>
        <v>-6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-618.46</v>
      </c>
      <c r="G26" s="43">
        <f t="shared" si="0"/>
        <v>-618.46</v>
      </c>
      <c r="H26" s="35"/>
      <c r="I26" s="50">
        <f t="shared" si="1"/>
        <v>-618.46</v>
      </c>
      <c r="J26" s="136"/>
      <c r="K26" s="178">
        <f>F26-4244.7</f>
        <v>-4863.16</v>
      </c>
      <c r="L26" s="178">
        <f>F26/4244.7*100</f>
        <v>-14.570169858882846</v>
      </c>
      <c r="M26" s="35">
        <f>E26-серпень!E26</f>
        <v>0</v>
      </c>
      <c r="N26" s="35">
        <f>F26-серпень!F26</f>
        <v>-3.8899999999999864</v>
      </c>
      <c r="O26" s="47">
        <f t="shared" si="3"/>
        <v>-3.8899999999999864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67948.72</v>
      </c>
      <c r="G27" s="43">
        <f t="shared" si="0"/>
        <v>412.22000000000116</v>
      </c>
      <c r="H27" s="35">
        <f t="shared" si="4"/>
        <v>100.61036624640009</v>
      </c>
      <c r="I27" s="50">
        <f t="shared" si="1"/>
        <v>-11551.279999999999</v>
      </c>
      <c r="J27" s="178">
        <f t="shared" si="6"/>
        <v>85.47008805031446</v>
      </c>
      <c r="K27" s="132">
        <f>F27-56114.63</f>
        <v>11834.090000000004</v>
      </c>
      <c r="L27" s="132">
        <f>F27/56114.63*100</f>
        <v>121.0891348655422</v>
      </c>
      <c r="M27" s="35">
        <f>E27-серпень!E27</f>
        <v>4060</v>
      </c>
      <c r="N27" s="35">
        <f>F27-серпень!F27</f>
        <v>113.7100000000064</v>
      </c>
      <c r="O27" s="47">
        <f t="shared" si="3"/>
        <v>-3946.2899999999936</v>
      </c>
      <c r="P27" s="50">
        <f t="shared" si="5"/>
        <v>2.8007389162563157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E28-серпень!E28</f>
        <v>0</v>
      </c>
      <c r="N28" s="137">
        <f>F28-серпень!F28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16943.99</v>
      </c>
      <c r="G29" s="135">
        <f t="shared" si="0"/>
        <v>163.9900000000016</v>
      </c>
      <c r="H29" s="137">
        <f t="shared" si="4"/>
        <v>100.97729439809298</v>
      </c>
      <c r="I29" s="136">
        <f t="shared" si="1"/>
        <v>-2256.0099999999984</v>
      </c>
      <c r="J29" s="136">
        <f t="shared" si="6"/>
        <v>88.24994791666667</v>
      </c>
      <c r="K29" s="139">
        <f>F29-15615.32</f>
        <v>1328.670000000002</v>
      </c>
      <c r="L29" s="139">
        <f>F29/15615.32*100</f>
        <v>108.50875934659041</v>
      </c>
      <c r="M29" s="137">
        <f>E29-серпень!E29</f>
        <v>1200</v>
      </c>
      <c r="N29" s="137">
        <f>F29-серпень!F29</f>
        <v>12.659999999999854</v>
      </c>
      <c r="O29" s="138">
        <f t="shared" si="3"/>
        <v>-1187.3400000000001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50989.13</v>
      </c>
      <c r="G30" s="135">
        <f t="shared" si="0"/>
        <v>232.62999999999738</v>
      </c>
      <c r="H30" s="137">
        <f t="shared" si="4"/>
        <v>100.45832553466059</v>
      </c>
      <c r="I30" s="136">
        <f t="shared" si="1"/>
        <v>-9310.870000000003</v>
      </c>
      <c r="J30" s="136">
        <f t="shared" si="6"/>
        <v>84.559087893864</v>
      </c>
      <c r="K30" s="139">
        <f>F30-40498.93</f>
        <v>10490.199999999997</v>
      </c>
      <c r="L30" s="139">
        <f>F30/40498.93*100</f>
        <v>125.9024127304104</v>
      </c>
      <c r="M30" s="137">
        <f>E30-серпень!E30</f>
        <v>2860</v>
      </c>
      <c r="N30" s="137">
        <f>F30-серпень!F30</f>
        <v>101.05999999999767</v>
      </c>
      <c r="O30" s="138">
        <f t="shared" si="3"/>
        <v>-2758.9400000000023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E31-серпень!E31</f>
        <v>0</v>
      </c>
      <c r="N31" s="137">
        <f>F31-серпень!F31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5574.11</v>
      </c>
      <c r="G32" s="43">
        <f t="shared" si="0"/>
        <v>-178.28999999999996</v>
      </c>
      <c r="H32" s="35">
        <f t="shared" si="4"/>
        <v>96.90059801126486</v>
      </c>
      <c r="I32" s="50">
        <f t="shared" si="1"/>
        <v>-1925.8900000000003</v>
      </c>
      <c r="J32" s="178">
        <f t="shared" si="6"/>
        <v>74.32146666666665</v>
      </c>
      <c r="K32" s="178">
        <f>F32-7363.52</f>
        <v>-1789.4100000000008</v>
      </c>
      <c r="L32" s="178">
        <f>F32/5308.17*100</f>
        <v>105.01001286695791</v>
      </c>
      <c r="M32" s="35">
        <f>E32-серпень!E32</f>
        <v>0.2999999999992724</v>
      </c>
      <c r="N32" s="35">
        <f>F32-серпень!F32</f>
        <v>0.1499999999996362</v>
      </c>
      <c r="O32" s="47">
        <f t="shared" si="3"/>
        <v>-0.1499999999996362</v>
      </c>
      <c r="P32" s="50">
        <f t="shared" si="5"/>
        <v>50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22950</v>
      </c>
      <c r="F33" s="18">
        <f>F34+F35+F36+F37+F38+F41+F42+F47+F48+F52+F40+F39</f>
        <v>25615.260000000002</v>
      </c>
      <c r="G33" s="44">
        <f t="shared" si="0"/>
        <v>2665.260000000002</v>
      </c>
      <c r="H33" s="45">
        <f>F33/E33*100</f>
        <v>111.61333333333334</v>
      </c>
      <c r="I33" s="31">
        <f t="shared" si="1"/>
        <v>-3091.8399999999965</v>
      </c>
      <c r="J33" s="31">
        <f t="shared" si="6"/>
        <v>89.22970275646097</v>
      </c>
      <c r="K33" s="18">
        <f>K34+K35+K36+K37+K38+K41+K42+K47+K48+K52+K40</f>
        <v>17006.77</v>
      </c>
      <c r="L33" s="18"/>
      <c r="M33" s="18">
        <f>M34+M35+M36+M37+M38+M41+M42+M47+M48+M52+M40+M39</f>
        <v>2859.8</v>
      </c>
      <c r="N33" s="18">
        <f>N34+N35+N36+N37+N38+N41+N42+N47+N48+N52+N40+N39</f>
        <v>4007.909999999999</v>
      </c>
      <c r="O33" s="49">
        <f t="shared" si="3"/>
        <v>1148.1099999999988</v>
      </c>
      <c r="P33" s="31">
        <f>N33/M33*100</f>
        <v>140.1465137422197</v>
      </c>
      <c r="Q33" s="31">
        <f>N33-1017.63</f>
        <v>2990.279999999999</v>
      </c>
      <c r="R33" s="127">
        <f>N33/1017.63</f>
        <v>3.9384746911942443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450</v>
      </c>
      <c r="F35" s="143">
        <v>4154.01</v>
      </c>
      <c r="G35" s="43">
        <f t="shared" si="0"/>
        <v>3704.01</v>
      </c>
      <c r="H35" s="35"/>
      <c r="I35" s="50">
        <f t="shared" si="1"/>
        <v>3154.01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250</v>
      </c>
      <c r="N35" s="35">
        <f>F35-серпень!F35</f>
        <v>3952.6400000000003</v>
      </c>
      <c r="O35" s="47">
        <f t="shared" si="3"/>
        <v>3702.6400000000003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E36-серпень!E36</f>
        <v>0</v>
      </c>
      <c r="N36" s="35">
        <f>F36-серпень!F36</f>
        <v>0</v>
      </c>
      <c r="O36" s="47">
        <f t="shared" si="3"/>
        <v>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104.08</v>
      </c>
      <c r="G38" s="43">
        <f t="shared" si="0"/>
        <v>-0.9200000000000017</v>
      </c>
      <c r="H38" s="35">
        <f>F38/E38*100</f>
        <v>99.12380952380953</v>
      </c>
      <c r="I38" s="50">
        <f t="shared" si="1"/>
        <v>-35.92</v>
      </c>
      <c r="J38" s="50">
        <f t="shared" si="6"/>
        <v>74.34285714285714</v>
      </c>
      <c r="K38" s="50">
        <f>F38-82.36</f>
        <v>21.72</v>
      </c>
      <c r="L38" s="50">
        <f>F38/82.36*100</f>
        <v>126.37202525497815</v>
      </c>
      <c r="M38" s="35">
        <f>E38-серпень!E38</f>
        <v>15</v>
      </c>
      <c r="N38" s="35">
        <f>F38-серпень!F38</f>
        <v>0.01999999999999602</v>
      </c>
      <c r="O38" s="47">
        <f t="shared" si="3"/>
        <v>-14.980000000000004</v>
      </c>
      <c r="P38" s="50">
        <f>N38/M38*100</f>
        <v>0.1333333333333068</v>
      </c>
      <c r="Q38" s="50">
        <f>N38-9.02</f>
        <v>-9.000000000000004</v>
      </c>
      <c r="R38" s="126">
        <f>N38/9.02</f>
        <v>0.0022172949002212884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E39-серпень!E39</f>
        <v>0</v>
      </c>
      <c r="N39" s="35">
        <f>F39-серпень!F39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6810.61</v>
      </c>
      <c r="G40" s="43"/>
      <c r="H40" s="35"/>
      <c r="I40" s="50">
        <f t="shared" si="1"/>
        <v>-2189.3900000000003</v>
      </c>
      <c r="J40" s="50"/>
      <c r="K40" s="50">
        <f>F40-0</f>
        <v>6810.61</v>
      </c>
      <c r="L40" s="50"/>
      <c r="M40" s="35">
        <f>E40-серпень!E40</f>
        <v>1000</v>
      </c>
      <c r="N40" s="35">
        <f>F40-серпень!F40</f>
        <v>38.55999999999949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5864.85</v>
      </c>
      <c r="G41" s="43">
        <f t="shared" si="0"/>
        <v>644.8500000000004</v>
      </c>
      <c r="H41" s="35">
        <f>F41/E41*100</f>
        <v>112.35344827586206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E41-серпень!E41</f>
        <v>600</v>
      </c>
      <c r="N41" s="35">
        <f>F41-серпень!F41</f>
        <v>0</v>
      </c>
      <c r="O41" s="47">
        <f t="shared" si="3"/>
        <v>-600</v>
      </c>
      <c r="P41" s="50">
        <f>N41/M41*100</f>
        <v>0</v>
      </c>
      <c r="Q41" s="50">
        <f>N41-647.49</f>
        <v>-647.49</v>
      </c>
      <c r="R41" s="126">
        <f>N41/647.49</f>
        <v>0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5233.03</v>
      </c>
      <c r="G42" s="43">
        <f t="shared" si="0"/>
        <v>-565.9700000000003</v>
      </c>
      <c r="H42" s="35">
        <f>F42/E42*100</f>
        <v>90.24021382997068</v>
      </c>
      <c r="I42" s="50">
        <f t="shared" si="1"/>
        <v>-1866.9700000000003</v>
      </c>
      <c r="J42" s="50">
        <f t="shared" si="6"/>
        <v>73.70464788732394</v>
      </c>
      <c r="K42" s="50">
        <f>F42-685.66</f>
        <v>4547.37</v>
      </c>
      <c r="L42" s="50">
        <f>F42/685.66*100</f>
        <v>763.2106291748097</v>
      </c>
      <c r="M42" s="35">
        <f>E42-серпень!E42</f>
        <v>604.3000000000002</v>
      </c>
      <c r="N42" s="35">
        <f>F42-серпень!F42</f>
        <v>11.599999999999454</v>
      </c>
      <c r="O42" s="47">
        <f t="shared" si="3"/>
        <v>-592.7000000000007</v>
      </c>
      <c r="P42" s="50">
        <f>N42/M42*100</f>
        <v>1.9195763693528796</v>
      </c>
      <c r="Q42" s="50">
        <f>N42-79.51</f>
        <v>-67.91000000000055</v>
      </c>
      <c r="R42" s="126">
        <f>N42/79.51</f>
        <v>0.14589359828951645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741.01</v>
      </c>
      <c r="G43" s="135">
        <f t="shared" si="0"/>
        <v>-98.99000000000001</v>
      </c>
      <c r="H43" s="137">
        <f>F43/E43*100</f>
        <v>88.2154761904762</v>
      </c>
      <c r="I43" s="136">
        <f t="shared" si="1"/>
        <v>-358.99</v>
      </c>
      <c r="J43" s="136">
        <f t="shared" si="6"/>
        <v>67.36454545454545</v>
      </c>
      <c r="K43" s="136">
        <f>F43-605.31</f>
        <v>135.70000000000005</v>
      </c>
      <c r="L43" s="136">
        <f>F43/605.31*100</f>
        <v>122.4182650212288</v>
      </c>
      <c r="M43" s="35">
        <f>E43-серпень!E43</f>
        <v>80</v>
      </c>
      <c r="N43" s="35">
        <f>F43-серпень!F43</f>
        <v>5.8799999999999955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45.48</v>
      </c>
      <c r="G44" s="135">
        <f t="shared" si="0"/>
        <v>-14.520000000000003</v>
      </c>
      <c r="H44" s="137"/>
      <c r="I44" s="136">
        <f t="shared" si="1"/>
        <v>-34.52</v>
      </c>
      <c r="J44" s="136"/>
      <c r="K44" s="136">
        <f>F44-0</f>
        <v>45.48</v>
      </c>
      <c r="L44" s="136"/>
      <c r="M44" s="35">
        <f>E44-серпень!E44</f>
        <v>10</v>
      </c>
      <c r="N44" s="35">
        <f>F44-серпень!F44</f>
        <v>0.02999999999999403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4445.79</v>
      </c>
      <c r="G46" s="135">
        <f t="shared" si="0"/>
        <v>-452.21000000000004</v>
      </c>
      <c r="H46" s="137">
        <f>F46/E46*100</f>
        <v>90.76745610453246</v>
      </c>
      <c r="I46" s="136">
        <f t="shared" si="1"/>
        <v>-1472.21</v>
      </c>
      <c r="J46" s="136">
        <f t="shared" si="6"/>
        <v>75.12318350794187</v>
      </c>
      <c r="K46" s="136">
        <f>F46-80.35</f>
        <v>4365.44</v>
      </c>
      <c r="L46" s="136">
        <f>F46/80.35*100</f>
        <v>5533.030491599254</v>
      </c>
      <c r="M46" s="35">
        <f>E46-серпень!E46</f>
        <v>514</v>
      </c>
      <c r="N46" s="35">
        <f>F46-серпень!F46</f>
        <v>5.680000000000291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E47-серпень!E47</f>
        <v>0</v>
      </c>
      <c r="N47" s="35">
        <f>F47-серпень!F47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3197.74</v>
      </c>
      <c r="G48" s="43">
        <f t="shared" si="0"/>
        <v>107.73999999999978</v>
      </c>
      <c r="H48" s="35">
        <f>F48/E48*100</f>
        <v>103.48673139158575</v>
      </c>
      <c r="I48" s="50">
        <f t="shared" si="1"/>
        <v>-1002.2600000000002</v>
      </c>
      <c r="J48" s="50">
        <f>F48/D48*100</f>
        <v>76.13666666666667</v>
      </c>
      <c r="K48" s="50">
        <f>F48-2702.66</f>
        <v>495.0799999999999</v>
      </c>
      <c r="L48" s="50">
        <f>F48/2702.66*100</f>
        <v>118.31824942834098</v>
      </c>
      <c r="M48" s="35">
        <f>E48-серпень!E48</f>
        <v>390</v>
      </c>
      <c r="N48" s="35">
        <f>F48-серпень!F48</f>
        <v>5.089999999999691</v>
      </c>
      <c r="O48" s="47">
        <f t="shared" si="3"/>
        <v>-384.9100000000003</v>
      </c>
      <c r="P48" s="50">
        <f aca="true" t="shared" si="7" ref="P48:P53">N48/M48*100</f>
        <v>1.3051282051281259</v>
      </c>
      <c r="Q48" s="50">
        <f>N48-277.38</f>
        <v>-272.2900000000003</v>
      </c>
      <c r="R48" s="126">
        <f>N48/277.38</f>
        <v>0.018350277597518533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890.4</v>
      </c>
      <c r="G51" s="135">
        <f t="shared" si="0"/>
        <v>890.4</v>
      </c>
      <c r="H51" s="137"/>
      <c r="I51" s="136">
        <f t="shared" si="1"/>
        <v>890.4</v>
      </c>
      <c r="J51" s="136"/>
      <c r="K51" s="219">
        <f>F51-635.8</f>
        <v>254.60000000000002</v>
      </c>
      <c r="L51" s="219">
        <f>F51/635.8*100</f>
        <v>140.04403900597674</v>
      </c>
      <c r="M51" s="35">
        <f>E51-серпень!E51</f>
        <v>0</v>
      </c>
      <c r="N51" s="35">
        <f>F51-серпень!F51</f>
        <v>0</v>
      </c>
      <c r="O51" s="138">
        <f t="shared" si="3"/>
        <v>0</v>
      </c>
      <c r="P51" s="136"/>
      <c r="Q51" s="50">
        <f>N51-64.93</f>
        <v>-64.93</v>
      </c>
      <c r="R51" s="126">
        <f>N51/64.93</f>
        <v>0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E52-серпень!E52</f>
        <v>0</v>
      </c>
      <c r="N52" s="35">
        <f>F52-серпень!F52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481721.9</v>
      </c>
      <c r="F55" s="18">
        <f>F8+F33+F53+F54</f>
        <v>455819.55000000005</v>
      </c>
      <c r="G55" s="44">
        <f>F55-E55</f>
        <v>-25902.349999999977</v>
      </c>
      <c r="H55" s="45">
        <f>F55/E55*100</f>
        <v>94.62296607233344</v>
      </c>
      <c r="I55" s="31">
        <f>F55-D55</f>
        <v>-145203.04999999993</v>
      </c>
      <c r="J55" s="31">
        <f>F55/D55*100</f>
        <v>75.84066722282991</v>
      </c>
      <c r="K55" s="31">
        <f>K8+K33+K53+K54</f>
        <v>124549.13600000001</v>
      </c>
      <c r="L55" s="31">
        <f>F55/(F55-K55)*100</f>
        <v>137.59742214709217</v>
      </c>
      <c r="M55" s="18">
        <f>M8+M33+M53+M54</f>
        <v>48538.399999999994</v>
      </c>
      <c r="N55" s="18">
        <f>N8+N33+N53+N54</f>
        <v>4685.360000000031</v>
      </c>
      <c r="O55" s="49">
        <f>N55-M55</f>
        <v>-43853.039999999964</v>
      </c>
      <c r="P55" s="31">
        <f>N55/M55*100</f>
        <v>9.652893379262668</v>
      </c>
      <c r="Q55" s="31">
        <f>N55-34768</f>
        <v>-30082.63999999997</v>
      </c>
      <c r="R55" s="171">
        <f>N55/34768</f>
        <v>0.13476069949378827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-50.49</v>
      </c>
      <c r="G61" s="43">
        <f aca="true" t="shared" si="8" ref="G61:G68">F61-E61</f>
        <v>-50.49</v>
      </c>
      <c r="H61" s="35"/>
      <c r="I61" s="53">
        <f aca="true" t="shared" si="9" ref="I61:I68">F61-D61</f>
        <v>-50.49</v>
      </c>
      <c r="J61" s="53"/>
      <c r="K61" s="47">
        <f>F61-207.32</f>
        <v>-257.81</v>
      </c>
      <c r="L61" s="53"/>
      <c r="M61" s="35">
        <v>0</v>
      </c>
      <c r="N61" s="36">
        <f>F61-липень!F61</f>
        <v>-1.3000000000000043</v>
      </c>
      <c r="O61" s="47">
        <f aca="true" t="shared" si="10" ref="O61:O68">N61-M61</f>
        <v>-1.3000000000000043</v>
      </c>
      <c r="P61" s="53"/>
      <c r="Q61" s="53">
        <f>N61-24.53</f>
        <v>-25.830000000000005</v>
      </c>
      <c r="R61" s="129">
        <f>N61/24.53</f>
        <v>-0.052996331023237024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-50.49</v>
      </c>
      <c r="G62" s="55">
        <f t="shared" si="8"/>
        <v>-50.49</v>
      </c>
      <c r="H62" s="65"/>
      <c r="I62" s="54">
        <f t="shared" si="9"/>
        <v>-50.49</v>
      </c>
      <c r="J62" s="54"/>
      <c r="K62" s="54">
        <f>K60+K61</f>
        <v>-256.85</v>
      </c>
      <c r="L62" s="54"/>
      <c r="M62" s="55">
        <f>M61</f>
        <v>0</v>
      </c>
      <c r="N62" s="33">
        <f>SUM(N60:N61)</f>
        <v>-1.3000000000000043</v>
      </c>
      <c r="O62" s="54">
        <f t="shared" si="10"/>
        <v>-1.3000000000000043</v>
      </c>
      <c r="P62" s="54"/>
      <c r="Q62" s="54">
        <f>N62-92.85</f>
        <v>-94.15</v>
      </c>
      <c r="R62" s="130">
        <f>N62/92.85</f>
        <v>-0.01400107700592358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593.03</v>
      </c>
      <c r="G64" s="43">
        <f t="shared" si="8"/>
        <v>-1006.97</v>
      </c>
      <c r="H64" s="35"/>
      <c r="I64" s="53">
        <f t="shared" si="9"/>
        <v>-1906.97</v>
      </c>
      <c r="J64" s="53">
        <f t="shared" si="11"/>
        <v>23.721199999999996</v>
      </c>
      <c r="K64" s="53">
        <f>F64-1754.68</f>
        <v>-1161.65</v>
      </c>
      <c r="L64" s="53">
        <f>F64/1754.68*100</f>
        <v>33.7970456151549</v>
      </c>
      <c r="M64" s="35">
        <f>E64-серпень!E64</f>
        <v>600</v>
      </c>
      <c r="N64" s="35">
        <f>F64-серпень!F64</f>
        <v>0.009999999999990905</v>
      </c>
      <c r="O64" s="47">
        <f t="shared" si="10"/>
        <v>-599.99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3782.7</v>
      </c>
      <c r="G65" s="43">
        <f t="shared" si="8"/>
        <v>-1679.46</v>
      </c>
      <c r="H65" s="35">
        <f>F65/E65*100</f>
        <v>69.25282305900961</v>
      </c>
      <c r="I65" s="53">
        <f t="shared" si="9"/>
        <v>-7793.3</v>
      </c>
      <c r="J65" s="53">
        <f t="shared" si="11"/>
        <v>32.67709053213545</v>
      </c>
      <c r="K65" s="53">
        <f>F65-2291.79</f>
        <v>1490.9099999999999</v>
      </c>
      <c r="L65" s="53">
        <f>F65/2291.79*100</f>
        <v>165.05438980011257</v>
      </c>
      <c r="M65" s="35">
        <f>E65-серпень!E65</f>
        <v>728.7200000000003</v>
      </c>
      <c r="N65" s="35">
        <f>F65-серпень!F65</f>
        <v>24.059999999999945</v>
      </c>
      <c r="O65" s="47">
        <f t="shared" si="10"/>
        <v>-704.6600000000003</v>
      </c>
      <c r="P65" s="53">
        <f>N65/M65*100</f>
        <v>3.301679657481603</v>
      </c>
      <c r="Q65" s="53">
        <f>N65-450.01</f>
        <v>-425.95000000000005</v>
      </c>
      <c r="R65" s="129">
        <f>N65/450.01</f>
        <v>0.053465478544921105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1838.64</v>
      </c>
      <c r="G66" s="43">
        <f t="shared" si="8"/>
        <v>653.8400000000001</v>
      </c>
      <c r="H66" s="35">
        <f>F66/E66*100</f>
        <v>155.18568534773803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E66-серпень!E66</f>
        <v>148.0999999999999</v>
      </c>
      <c r="N66" s="35">
        <f>F66-серпень!F66</f>
        <v>0</v>
      </c>
      <c r="O66" s="47">
        <f t="shared" si="10"/>
        <v>-148.0999999999999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6214.37</v>
      </c>
      <c r="G67" s="55">
        <f t="shared" si="8"/>
        <v>-2032.5899999999992</v>
      </c>
      <c r="H67" s="65">
        <f>F67/E67*100</f>
        <v>75.3534635793068</v>
      </c>
      <c r="I67" s="54">
        <f t="shared" si="9"/>
        <v>-10861.630000000001</v>
      </c>
      <c r="J67" s="54">
        <f t="shared" si="11"/>
        <v>36.392422112907</v>
      </c>
      <c r="K67" s="54">
        <f>K64+K65+K66</f>
        <v>1303.2799999999997</v>
      </c>
      <c r="L67" s="54"/>
      <c r="M67" s="55">
        <f>M64+M65+M66</f>
        <v>1476.8200000000002</v>
      </c>
      <c r="N67" s="55">
        <f>N64+N65+N66</f>
        <v>24.069999999999936</v>
      </c>
      <c r="O67" s="54">
        <f t="shared" si="10"/>
        <v>-1452.7500000000002</v>
      </c>
      <c r="P67" s="54">
        <f>N67/M67*100</f>
        <v>1.629853333513897</v>
      </c>
      <c r="Q67" s="54">
        <f>N67-7985.28</f>
        <v>-7961.21</v>
      </c>
      <c r="R67" s="173">
        <f>N67/7985.28</f>
        <v>0.003014296305201563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0.18</v>
      </c>
      <c r="G68" s="43">
        <f t="shared" si="8"/>
        <v>-24.82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E68-серпень!E68</f>
        <v>10</v>
      </c>
      <c r="N68" s="35">
        <f>F68-серпень!F68</f>
        <v>0</v>
      </c>
      <c r="O68" s="47">
        <f t="shared" si="10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1.06</v>
      </c>
      <c r="G71" s="55">
        <f>F71-E71</f>
        <v>-35.94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10</v>
      </c>
      <c r="N71" s="55">
        <f>N68+N70+N69</f>
        <v>0</v>
      </c>
      <c r="O71" s="54">
        <f>N71-M71</f>
        <v>-10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21.06</v>
      </c>
      <c r="G72" s="43">
        <f>F72-E72</f>
        <v>-11.16</v>
      </c>
      <c r="H72" s="35">
        <f>F72/E72*100</f>
        <v>65.36312849162012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E72-серпень!E72</f>
        <v>9</v>
      </c>
      <c r="N72" s="35">
        <f>F72-серпень!F72</f>
        <v>0</v>
      </c>
      <c r="O72" s="47">
        <f>N72-M72</f>
        <v>-9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6186.2</v>
      </c>
      <c r="G74" s="44">
        <f>F74-E74</f>
        <v>-2129.9799999999987</v>
      </c>
      <c r="H74" s="45">
        <f>F74/E74*100</f>
        <v>74.3875192696647</v>
      </c>
      <c r="I74" s="31">
        <f>F74-D74</f>
        <v>-10985.8</v>
      </c>
      <c r="J74" s="31">
        <f>F74/D74*100</f>
        <v>36.02492429536455</v>
      </c>
      <c r="K74" s="31">
        <f>K62+K67+K71+K72</f>
        <v>1011.4299999999998</v>
      </c>
      <c r="L74" s="31"/>
      <c r="M74" s="27">
        <f>M62+M72+M67+M71</f>
        <v>1495.8200000000002</v>
      </c>
      <c r="N74" s="27">
        <f>N62+N72+N67+N71+N73</f>
        <v>22.769999999999932</v>
      </c>
      <c r="O74" s="31">
        <f>N74-M74</f>
        <v>-1473.0500000000002</v>
      </c>
      <c r="P74" s="31">
        <f>N74/M74*100</f>
        <v>1.5222419809870125</v>
      </c>
      <c r="Q74" s="31">
        <f>N74-8104.96</f>
        <v>-8082.1900000000005</v>
      </c>
      <c r="R74" s="127">
        <f>N74/8104.96</f>
        <v>0.0028093907927984755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490038.08</v>
      </c>
      <c r="F75" s="27">
        <f>F55+F74</f>
        <v>462005.75000000006</v>
      </c>
      <c r="G75" s="44">
        <f>F75-E75</f>
        <v>-28032.329999999958</v>
      </c>
      <c r="H75" s="45">
        <f>F75/E75*100</f>
        <v>94.2795608863703</v>
      </c>
      <c r="I75" s="31">
        <f>F75-D75</f>
        <v>-156188.84999999992</v>
      </c>
      <c r="J75" s="31">
        <f>F75/D75*100</f>
        <v>74.7346790153133</v>
      </c>
      <c r="K75" s="31">
        <f>K55+K74</f>
        <v>125560.566</v>
      </c>
      <c r="L75" s="31">
        <f>F75/(F75-K75)*100</f>
        <v>137.31976915443082</v>
      </c>
      <c r="M75" s="18">
        <f>M55+M74</f>
        <v>50034.219999999994</v>
      </c>
      <c r="N75" s="18">
        <f>N55+N74</f>
        <v>4708.13000000003</v>
      </c>
      <c r="O75" s="31">
        <f>N75-M75</f>
        <v>-45326.08999999997</v>
      </c>
      <c r="P75" s="31">
        <f>N75/M75*100</f>
        <v>9.409819919247328</v>
      </c>
      <c r="Q75" s="31">
        <f>N75-42872.96</f>
        <v>-38164.82999999997</v>
      </c>
      <c r="R75" s="127">
        <f>N75/42872.96</f>
        <v>0.10981583730164725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21</v>
      </c>
      <c r="D77" s="4" t="s">
        <v>118</v>
      </c>
    </row>
    <row r="78" spans="2:17" ht="31.5">
      <c r="B78" s="71" t="s">
        <v>154</v>
      </c>
      <c r="C78" s="34">
        <f>IF(O55&lt;0,ABS(O55/C77),0)</f>
        <v>2088.2399999999984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42248</v>
      </c>
      <c r="D79" s="34">
        <v>4685.4</v>
      </c>
      <c r="N79" s="236"/>
      <c r="O79" s="236"/>
    </row>
    <row r="80" spans="3:15" ht="15.75">
      <c r="C80" s="111">
        <v>42247</v>
      </c>
      <c r="D80" s="34">
        <v>2853.5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42244</v>
      </c>
      <c r="D81" s="34">
        <v>8323.9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1370.61845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5" sqref="B25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302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890.4</v>
      </c>
      <c r="G51" s="135">
        <f t="shared" si="0"/>
        <v>890.4</v>
      </c>
      <c r="H51" s="137"/>
      <c r="I51" s="136">
        <f t="shared" si="1"/>
        <v>890.4</v>
      </c>
      <c r="J51" s="136"/>
      <c r="K51" s="219">
        <f>F51-635.8</f>
        <v>254.60000000000002</v>
      </c>
      <c r="L51" s="219">
        <f>F51/635.8*100</f>
        <v>140.04403900597674</v>
      </c>
      <c r="M51" s="137">
        <f>E51-липень!E51</f>
        <v>0</v>
      </c>
      <c r="N51" s="137">
        <f>F51-липень!F51</f>
        <v>207.19999999999993</v>
      </c>
      <c r="O51" s="138">
        <f t="shared" si="3"/>
        <v>207.19999999999993</v>
      </c>
      <c r="P51" s="136"/>
      <c r="Q51" s="50">
        <f>N51-64.93</f>
        <v>142.26999999999992</v>
      </c>
      <c r="R51" s="126">
        <f>N51/64.93</f>
        <v>3.191128908054827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8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69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2015-09-02T08:59:12Z</cp:lastPrinted>
  <dcterms:created xsi:type="dcterms:W3CDTF">2003-07-28T11:27:56Z</dcterms:created>
  <dcterms:modified xsi:type="dcterms:W3CDTF">2015-09-02T13:39:18Z</dcterms:modified>
  <cp:category/>
  <cp:version/>
  <cp:contentType/>
  <cp:contentStatus/>
</cp:coreProperties>
</file>